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28800" windowHeight="12435" tabRatio="737"/>
  </bookViews>
  <sheets>
    <sheet name="celkové plochy" sheetId="2" r:id="rId1"/>
    <sheet name="ODPADY" sheetId="3" r:id="rId2"/>
  </sheets>
  <calcPr calcId="124519"/>
</workbook>
</file>

<file path=xl/calcChain.xml><?xml version="1.0" encoding="utf-8"?>
<calcChain xmlns="http://schemas.openxmlformats.org/spreadsheetml/2006/main">
  <c r="B30" i="2"/>
  <c r="C31"/>
  <c r="B31"/>
  <c r="C55" i="3"/>
  <c r="C54"/>
  <c r="C53"/>
  <c r="C52"/>
  <c r="E52" s="1"/>
  <c r="C51"/>
  <c r="C50"/>
  <c r="C49"/>
  <c r="E49" s="1"/>
  <c r="C48"/>
  <c r="C47"/>
  <c r="C46"/>
  <c r="C45"/>
  <c r="C44"/>
  <c r="C43"/>
  <c r="E43" s="1"/>
  <c r="C42"/>
  <c r="C41"/>
  <c r="E41" s="1"/>
  <c r="C40"/>
  <c r="C39"/>
  <c r="C38"/>
  <c r="E38" s="1"/>
  <c r="C37"/>
  <c r="C36"/>
  <c r="E36" s="1"/>
  <c r="C35"/>
  <c r="E35" s="1"/>
  <c r="C34"/>
  <c r="E34" s="1"/>
  <c r="C33"/>
  <c r="C32"/>
  <c r="C31"/>
  <c r="E31"/>
  <c r="C30"/>
  <c r="E30" s="1"/>
  <c r="C26"/>
  <c r="C25"/>
  <c r="C23"/>
  <c r="C22"/>
  <c r="E22" s="1"/>
  <c r="C18"/>
  <c r="E18" s="1"/>
  <c r="C17"/>
  <c r="C14"/>
  <c r="C13"/>
  <c r="E13" s="1"/>
  <c r="E55"/>
  <c r="E54"/>
  <c r="E53"/>
  <c r="E51"/>
  <c r="E50"/>
  <c r="E48"/>
  <c r="E47"/>
  <c r="E46"/>
  <c r="E45"/>
  <c r="E44"/>
  <c r="E42"/>
  <c r="E40"/>
  <c r="E39"/>
  <c r="E37"/>
  <c r="E33"/>
  <c r="E32"/>
  <c r="E29"/>
  <c r="E28"/>
  <c r="E27"/>
  <c r="E26"/>
  <c r="E25"/>
  <c r="E24"/>
  <c r="E23"/>
  <c r="E21"/>
  <c r="E20"/>
  <c r="E19"/>
  <c r="E17"/>
  <c r="E16"/>
  <c r="E15"/>
  <c r="E14"/>
  <c r="E12"/>
  <c r="C12"/>
  <c r="E2"/>
  <c r="C10"/>
  <c r="C9"/>
  <c r="C8"/>
  <c r="E8" s="1"/>
  <c r="E10"/>
  <c r="E9"/>
  <c r="E7"/>
  <c r="E6"/>
  <c r="E5"/>
  <c r="E3"/>
  <c r="E4" l="1"/>
  <c r="E11"/>
  <c r="E31" i="2" l="1"/>
  <c r="E33"/>
  <c r="E32"/>
  <c r="C29"/>
  <c r="B27"/>
  <c r="C30"/>
  <c r="B28"/>
  <c r="C28" s="1"/>
  <c r="C26"/>
  <c r="B26"/>
  <c r="C20"/>
  <c r="C17"/>
  <c r="C14"/>
  <c r="C9"/>
  <c r="C12" s="1"/>
  <c r="E30" l="1"/>
  <c r="B29" l="1"/>
  <c r="E26"/>
  <c r="C23"/>
  <c r="C7"/>
  <c r="E28" l="1"/>
  <c r="E29"/>
  <c r="E27"/>
  <c r="E34" s="1"/>
  <c r="E6" l="1"/>
  <c r="E5" l="1"/>
  <c r="E4"/>
</calcChain>
</file>

<file path=xl/sharedStrings.xml><?xml version="1.0" encoding="utf-8"?>
<sst xmlns="http://schemas.openxmlformats.org/spreadsheetml/2006/main" count="155" uniqueCount="103">
  <si>
    <t>STATISTICKÉ ÚDAJE STAVBY</t>
  </si>
  <si>
    <t>ozn.</t>
  </si>
  <si>
    <t xml:space="preserve"> plocha (m2)</t>
  </si>
  <si>
    <t>%</t>
  </si>
  <si>
    <t>celkem</t>
  </si>
  <si>
    <t>zpevněné plochy</t>
  </si>
  <si>
    <t>OZN.</t>
  </si>
  <si>
    <t>zastavěná plocha (m2)</t>
  </si>
  <si>
    <t>obestavěný prostor (m3)</t>
  </si>
  <si>
    <t>cenový odhad za m2,m3*</t>
  </si>
  <si>
    <t>vegetační kryt</t>
  </si>
  <si>
    <t>celkem bez DPH</t>
  </si>
  <si>
    <t>-</t>
  </si>
  <si>
    <t>parcely</t>
  </si>
  <si>
    <t>stávající stav</t>
  </si>
  <si>
    <t>navrhovaný stav</t>
  </si>
  <si>
    <t>orientační náklady stavby</t>
  </si>
  <si>
    <t>parcela 551</t>
  </si>
  <si>
    <t>parcela 1349/11</t>
  </si>
  <si>
    <t>parcela 1349/15</t>
  </si>
  <si>
    <t>SŽDC</t>
  </si>
  <si>
    <t>ČD</t>
  </si>
  <si>
    <t>Planá</t>
  </si>
  <si>
    <t>č.p. 504  - demolice nezlegalizovaného přístavku</t>
  </si>
  <si>
    <t>č.p. 504  - zastavěná plocha, po demolici</t>
  </si>
  <si>
    <t>č.p. 504  - zastavěná plocha, legalizace přístavku</t>
  </si>
  <si>
    <t>č.p. 504  - zastavěná plocha, mimo nezlegalizovaných částí</t>
  </si>
  <si>
    <t>zpevněné plochy - pochozí</t>
  </si>
  <si>
    <t>zpevněné plochy - pojezdové</t>
  </si>
  <si>
    <t>krytý perón</t>
  </si>
  <si>
    <t>zatravněná plocha, retenční</t>
  </si>
  <si>
    <t>propustné plochy, parkovací stání</t>
  </si>
  <si>
    <t>odstranění části č.p 504</t>
  </si>
  <si>
    <t>základy, zemní práce č.p.504</t>
  </si>
  <si>
    <t>sanace č.p. 504</t>
  </si>
  <si>
    <t>* dle cenových ukazatelů ve stavebnictví pro rok 2018 sestavených  ČSÚ a ČKAIT</t>
  </si>
  <si>
    <t>VNITŘNÍ STAVEBNÍ ÚPRAVY VÝPRAVNÍ BUDOVY</t>
  </si>
  <si>
    <t>KONTAKTNÍ ZATEPLENÍ A ÚPRAVA FASÁD</t>
  </si>
  <si>
    <t>ÚPRAVA ZASTŘEŠENÍ</t>
  </si>
  <si>
    <t>Demolice budov prováděné postupným rozebíráním z cihel, kamene, smíšeného a hrázděného zdiva, tvárnic na maltu vápennou nebo vápenocementovou, s podílem konstrukcí přes 15 do 20 %</t>
  </si>
  <si>
    <t>m3</t>
  </si>
  <si>
    <t>Zemní práce</t>
  </si>
  <si>
    <t>Vybourání kovových doplňkových konstrukcí madel a zábradlí_x000D_
 v jakémkoliv zdivu</t>
  </si>
  <si>
    <t>m</t>
  </si>
  <si>
    <t>Bourání konstrukcí</t>
  </si>
  <si>
    <t>Odstranění krytů a podkladů vozovek Odstranění asfaltobet.krytu tl. do 5 cm nad 50 m2, bez nakládání a odvozu na skládku</t>
  </si>
  <si>
    <t>m2</t>
  </si>
  <si>
    <t>Rozebrání komunikací pro pěší s jakýmkoliv ložem a výplní spár_x000D_
 z betonových nebo kameninových dlaždic nebo tvarovek</t>
  </si>
  <si>
    <t>Terénní modelace při sejmutí ornice v  tloušťce 150 mm</t>
  </si>
  <si>
    <t>horniny 1- 4, přípojka STL</t>
  </si>
  <si>
    <t>Vykopávka v uzavřených prostorách v hornině 4, podlahy</t>
  </si>
  <si>
    <t>skládka horniny 1- 4, chodníky, sanace</t>
  </si>
  <si>
    <t>Bourání příček z cihel pálených plných, tloušťky 65 mm</t>
  </si>
  <si>
    <t>Bourání příček z cihel pálených plných, tloušťky 140 mm</t>
  </si>
  <si>
    <t>Bourání zdiva nadzákladového z cihel pálených nebo vápenopískových, na maltu vápenou nebo vápenocementovou</t>
  </si>
  <si>
    <t>Bourání zdiva nadzákladového komínového z jakýchkoliv cihel pálených, šamotových nebo vápenopískových nad střechou, na maltu vápenou nebo vápenocementovou</t>
  </si>
  <si>
    <t>Bourání zdiva příček ze skleněných tvárnic, tloušťky do 100 mm</t>
  </si>
  <si>
    <t>Bourání podlah z cihel kladených na plocho, plochy přes 1 m2</t>
  </si>
  <si>
    <t>Bourání podkladů pod dlažby nebo litých celistvých dlažeb a mazanin  betonových nebo z litého asfaltu, tloušťky do 100 mm, plochy do 4 m2</t>
  </si>
  <si>
    <t>Bourání podkladů pod dlažby nebo litých celistvých dlažeb a mazanin  betonových nebo z litého asfaltu, tloušťky přes 100 mm, plochy do 4 m2</t>
  </si>
  <si>
    <t>Bourání podkladů pod dlažby nebo litých celistvých dlažeb a mazanin  betonových s potěrem nebo teracem, tloušťky do 100 mm, plochy přes 4 m2</t>
  </si>
  <si>
    <t>Bourání podlah z dlaždic půdních,  , plochy přes 1 m2</t>
  </si>
  <si>
    <t>Bourání podlah z keramických dlaždic, tloušťky do 10 mm, plochy přes 1 m2</t>
  </si>
  <si>
    <t>Odstranění násypu pod podlahami a ochranného na střechách tloušťky do 100 mm, plochy přes 2 m2</t>
  </si>
  <si>
    <t xml:space="preserve">Vybourání vnitřních parapetů dřevěných, šířky do 50 cm,  </t>
  </si>
  <si>
    <t>Vybourání otvorů ve zdivu cihelném z jakýchkoliv cihel pálených_x000D_
 na jakoukoliv maltu vápenou nebo vápenocementovou, plochy do 4 m2, tloušťky do 150 mm</t>
  </si>
  <si>
    <t>Vybourání otvorů ve zdivu cihelném z jakýchkoliv cihel pálených_x000D_
 na jakoukoliv maltu vápenou nebo vápenocementovou, plochy do 4 m2, tloušťky do 300 mm</t>
  </si>
  <si>
    <t>Vybourání otvorů ve zdivu cihelném z jakýchkoliv cihel pálených_x000D_
 na jakoukoliv maltu vápenou nebo vápenocementovou, plochy do 4 m2, tloušťky do 900 mm</t>
  </si>
  <si>
    <t>Vysekání v cihelném zdivu výklenků a kapes výklenků_x000D_
 na jakoukoliv maltu vápennou nebo vápenocementovou, plochy větší než 0,25 m2</t>
  </si>
  <si>
    <t>Vysekání v cihelném zdivu výklenků a kapes kapes na jakoukoliv maltu vápennou nebo vápenocementovou, plochy do 0,1 m2, hloubky do 300 mm</t>
  </si>
  <si>
    <t>kus</t>
  </si>
  <si>
    <t>Vysekání rýh v jakémkoliv zdivu cihelném pro vtahování nosníků do zdí, před vybouráním otvorů_x000D_
 do hloubky 150 mm, při výšce nosníku do 150 mm</t>
  </si>
  <si>
    <t>Vysekání rýh v jakémkoliv zdivu cihelném pro vtahování nosníků do zdí, před vybouráním otvorů_x000D_
 do hloubky 150 mm, při výšce nosníku do 250 mm</t>
  </si>
  <si>
    <t>Vysekání rýh v jakémkoliv zdivu cihelném pro vtahování nosníků do zdí, před vybouráním otvorů_x000D_
 do hloubky 150 mm, při výšce nosníku do 350 mm</t>
  </si>
  <si>
    <t>Vysekání rýh v jakémkoliv zdivu cihelném pro vtahování nosníků do zdí, před vybouráním otvorů_x000D_
 do hloubky 150 mm, při výšce nosníku do 450 mm</t>
  </si>
  <si>
    <t>Otlučení omítek vápenných nebo vápenocementových vnitřních s vyškrabáním spár, s očištěním zdiva stropů, v rozsahu do 100 %</t>
  </si>
  <si>
    <t>Otlučení omítek vápenných nebo vápenocementových vnitřních s vyškrabáním spár, s očištěním zdiva stropů rákosovaných, v rozsahu do 100 %</t>
  </si>
  <si>
    <t>Otlučení omítek vápenných nebo vápenocementových vnitřních s vyškrabáním spár, s očištěním zdiva stěn, v rozsahu do 100 %</t>
  </si>
  <si>
    <t>Odsekání a odebrání obkladů stěn z obkládaček vnitřních z jakýchkoliv materiálů, plochy přes 2 m2</t>
  </si>
  <si>
    <t>Odstranění tepelné izolace z desek, lamel, rohoží, pásů a foukané izolace podlah, volně uložené, z desek z expandovaného polystyrenu, tloušťky do 100 mm</t>
  </si>
  <si>
    <t>Demontáž pisoárových stání pisoárové nádrže + 1 stání</t>
  </si>
  <si>
    <t>soubor</t>
  </si>
  <si>
    <t>Demontáž zařizovacích předmětů Demontáž klozetu včetně splachovací nádrže</t>
  </si>
  <si>
    <t>Demontáž zařizovacích předmětů Demontáž umyvadla včetně baterie a konzol</t>
  </si>
  <si>
    <t>Demontáž zařizovacích předmětů Demontáž vany rohové, včetně baterie a obezdění</t>
  </si>
  <si>
    <t>Demontáž dřezů jednodílných na konzolách</t>
  </si>
  <si>
    <t>Demontáž dřezů jednodílných v kuchyňské sestavě</t>
  </si>
  <si>
    <t>Demontáž výlevek diturvitových</t>
  </si>
  <si>
    <t>Demontáž elektrických zásobníkových ohřívačů vody tlakových, od 50 do 200 l</t>
  </si>
  <si>
    <t>Demontáž baterií nástěnných do G 3/4"</t>
  </si>
  <si>
    <t>Demontáž podlah s polštáři , z prken, tloušťky do 32 mm</t>
  </si>
  <si>
    <t>Demontáž záklopů stropů vrchních, zapuštěných z hrubých prken tloušťky do 32 mm</t>
  </si>
  <si>
    <t>Demontáž podbíjení obkladů stropů a satřech sklonu do 60° z prken hrubých tloušťky do 35 mm bez omítky</t>
  </si>
  <si>
    <t>Demontáž podhledů kazet</t>
  </si>
  <si>
    <t>Demontáž podhledů roštů</t>
  </si>
  <si>
    <t>Demontáž podlah vlysových lepených</t>
  </si>
  <si>
    <t>Demontáž povlakových podlah z nášlapné plochy Demontáž povlakových podlah z nášlapné plochy</t>
  </si>
  <si>
    <t>obj. hm. (kg/m3)</t>
  </si>
  <si>
    <t>množství (t)</t>
  </si>
  <si>
    <t>typ odpadu</t>
  </si>
  <si>
    <t xml:space="preserve">TABULKA BOURACÍCH PRACÍ - ŽST PLANÁ </t>
  </si>
  <si>
    <t>170107</t>
  </si>
  <si>
    <t xml:space="preserve">Demolice </t>
  </si>
</sst>
</file>

<file path=xl/styles.xml><?xml version="1.0" encoding="utf-8"?>
<styleSheet xmlns="http://schemas.openxmlformats.org/spreadsheetml/2006/main">
  <numFmts count="3">
    <numFmt numFmtId="164" formatCode="#,##0.00\ &quot;Kč&quot;"/>
    <numFmt numFmtId="165" formatCode="0.0%"/>
    <numFmt numFmtId="166" formatCode="#,##0.00000"/>
  </numFmts>
  <fonts count="10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color rgb="FFFF0000"/>
      <name val="Arial Narrow"/>
      <family val="2"/>
      <charset val="238"/>
    </font>
    <font>
      <sz val="10"/>
      <color rgb="FFFF0000"/>
      <name val="Calibri"/>
      <family val="2"/>
      <charset val="238"/>
      <scheme val="minor"/>
    </font>
    <font>
      <b/>
      <sz val="10"/>
      <name val="Arial Narrow"/>
      <family val="2"/>
      <charset val="238"/>
    </font>
    <font>
      <sz val="10"/>
      <name val="Arial Narrow"/>
      <family val="2"/>
      <charset val="238"/>
    </font>
    <font>
      <b/>
      <sz val="10"/>
      <color theme="0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1"/>
      <color theme="3"/>
      <name val="Arial Narrow"/>
      <family val="2"/>
      <charset val="238"/>
    </font>
    <font>
      <b/>
      <sz val="12"/>
      <color theme="3"/>
      <name val="Arial Narrow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39994506668294322"/>
        <bgColor indexed="64"/>
      </patternFill>
    </fill>
  </fills>
  <borders count="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 style="thin">
        <color indexed="64"/>
      </top>
      <bottom/>
      <diagonal/>
    </border>
    <border>
      <left/>
      <right/>
      <top style="dashed">
        <color auto="1"/>
      </top>
      <bottom style="dashed">
        <color auto="1"/>
      </bottom>
      <diagonal/>
    </border>
  </borders>
  <cellStyleXfs count="5">
    <xf numFmtId="0" fontId="0" fillId="0" borderId="0"/>
    <xf numFmtId="9" fontId="1" fillId="0" borderId="0" applyFont="0" applyFill="0" applyBorder="0" applyAlignment="0" applyProtection="0"/>
    <xf numFmtId="0" fontId="9" fillId="8" borderId="2" applyNumberFormat="0" applyAlignment="0" applyProtection="0"/>
    <xf numFmtId="0" fontId="8" fillId="7" borderId="0" applyNumberFormat="0" applyBorder="0" applyAlignment="0" applyProtection="0"/>
    <xf numFmtId="0" fontId="5" fillId="0" borderId="4"/>
  </cellStyleXfs>
  <cellXfs count="50">
    <xf numFmtId="0" fontId="0" fillId="0" borderId="0" xfId="0"/>
    <xf numFmtId="0" fontId="3" fillId="0" borderId="0" xfId="0" applyFont="1"/>
    <xf numFmtId="0" fontId="2" fillId="0" borderId="0" xfId="0" applyFont="1"/>
    <xf numFmtId="0" fontId="5" fillId="3" borderId="1" xfId="0" applyFont="1" applyFill="1" applyBorder="1"/>
    <xf numFmtId="2" fontId="5" fillId="3" borderId="1" xfId="0" applyNumberFormat="1" applyFont="1" applyFill="1" applyBorder="1"/>
    <xf numFmtId="2" fontId="4" fillId="3" borderId="1" xfId="0" applyNumberFormat="1" applyFont="1" applyFill="1" applyBorder="1"/>
    <xf numFmtId="0" fontId="5" fillId="3" borderId="1" xfId="0" applyFont="1" applyFill="1" applyBorder="1" applyAlignment="1"/>
    <xf numFmtId="164" fontId="5" fillId="3" borderId="1" xfId="1" applyNumberFormat="1" applyFont="1" applyFill="1" applyBorder="1"/>
    <xf numFmtId="0" fontId="5" fillId="3" borderId="1" xfId="0" applyFont="1" applyFill="1" applyBorder="1" applyAlignment="1">
      <alignment wrapText="1"/>
    </xf>
    <xf numFmtId="2" fontId="5" fillId="3" borderId="1" xfId="0" applyNumberFormat="1" applyFont="1" applyFill="1" applyBorder="1" applyAlignment="1">
      <alignment horizontal="right"/>
    </xf>
    <xf numFmtId="0" fontId="5" fillId="3" borderId="1" xfId="0" applyFont="1" applyFill="1" applyBorder="1" applyAlignment="1">
      <alignment horizontal="right"/>
    </xf>
    <xf numFmtId="165" fontId="5" fillId="3" borderId="1" xfId="1" applyNumberFormat="1" applyFont="1" applyFill="1" applyBorder="1"/>
    <xf numFmtId="0" fontId="4" fillId="3" borderId="1" xfId="0" applyFont="1" applyFill="1" applyBorder="1"/>
    <xf numFmtId="165" fontId="4" fillId="3" borderId="1" xfId="1" applyNumberFormat="1" applyFont="1" applyFill="1" applyBorder="1"/>
    <xf numFmtId="2" fontId="4" fillId="3" borderId="1" xfId="0" applyNumberFormat="1" applyFont="1" applyFill="1" applyBorder="1" applyAlignment="1">
      <alignment horizontal="right"/>
    </xf>
    <xf numFmtId="164" fontId="4" fillId="3" borderId="1" xfId="1" applyNumberFormat="1" applyFont="1" applyFill="1" applyBorder="1"/>
    <xf numFmtId="0" fontId="5" fillId="4" borderId="1" xfId="0" applyFont="1" applyFill="1" applyBorder="1"/>
    <xf numFmtId="2" fontId="5" fillId="4" borderId="1" xfId="0" applyNumberFormat="1" applyFont="1" applyFill="1" applyBorder="1"/>
    <xf numFmtId="165" fontId="5" fillId="4" borderId="1" xfId="1" applyNumberFormat="1" applyFont="1" applyFill="1" applyBorder="1"/>
    <xf numFmtId="0" fontId="4" fillId="4" borderId="1" xfId="0" applyFont="1" applyFill="1" applyBorder="1"/>
    <xf numFmtId="2" fontId="4" fillId="4" borderId="1" xfId="0" applyNumberFormat="1" applyFont="1" applyFill="1" applyBorder="1"/>
    <xf numFmtId="165" fontId="4" fillId="4" borderId="1" xfId="1" applyNumberFormat="1" applyFont="1" applyFill="1" applyBorder="1"/>
    <xf numFmtId="0" fontId="5" fillId="5" borderId="1" xfId="0" applyFont="1" applyFill="1" applyBorder="1"/>
    <xf numFmtId="2" fontId="5" fillId="5" borderId="1" xfId="0" applyNumberFormat="1" applyFont="1" applyFill="1" applyBorder="1"/>
    <xf numFmtId="165" fontId="5" fillId="5" borderId="1" xfId="1" applyNumberFormat="1" applyFont="1" applyFill="1" applyBorder="1"/>
    <xf numFmtId="0" fontId="4" fillId="5" borderId="1" xfId="0" applyFont="1" applyFill="1" applyBorder="1"/>
    <xf numFmtId="2" fontId="4" fillId="5" borderId="1" xfId="0" applyNumberFormat="1" applyFont="1" applyFill="1" applyBorder="1"/>
    <xf numFmtId="165" fontId="4" fillId="5" borderId="1" xfId="1" applyNumberFormat="1" applyFont="1" applyFill="1" applyBorder="1"/>
    <xf numFmtId="0" fontId="5" fillId="6" borderId="1" xfId="0" applyFont="1" applyFill="1" applyBorder="1"/>
    <xf numFmtId="2" fontId="5" fillId="6" borderId="1" xfId="0" applyNumberFormat="1" applyFont="1" applyFill="1" applyBorder="1"/>
    <xf numFmtId="165" fontId="5" fillId="6" borderId="1" xfId="1" applyNumberFormat="1" applyFont="1" applyFill="1" applyBorder="1"/>
    <xf numFmtId="0" fontId="4" fillId="6" borderId="1" xfId="0" applyFont="1" applyFill="1" applyBorder="1"/>
    <xf numFmtId="2" fontId="4" fillId="6" borderId="1" xfId="0" applyNumberFormat="1" applyFont="1" applyFill="1" applyBorder="1"/>
    <xf numFmtId="165" fontId="4" fillId="6" borderId="1" xfId="1" applyNumberFormat="1" applyFont="1" applyFill="1" applyBorder="1"/>
    <xf numFmtId="0" fontId="5" fillId="3" borderId="1" xfId="0" applyFont="1" applyFill="1" applyBorder="1" applyAlignment="1">
      <alignment horizontal="left" vertical="top" wrapText="1"/>
    </xf>
    <xf numFmtId="0" fontId="5" fillId="0" borderId="4" xfId="4"/>
    <xf numFmtId="0" fontId="7" fillId="0" borderId="0" xfId="0" applyFont="1"/>
    <xf numFmtId="49" fontId="8" fillId="7" borderId="3" xfId="3" applyNumberFormat="1" applyBorder="1" applyAlignment="1">
      <alignment horizontal="left" vertical="top" wrapText="1"/>
    </xf>
    <xf numFmtId="0" fontId="8" fillId="7" borderId="3" xfId="3" applyBorder="1" applyAlignment="1">
      <alignment horizontal="center" vertical="top" shrinkToFit="1"/>
    </xf>
    <xf numFmtId="166" fontId="8" fillId="7" borderId="3" xfId="3" applyNumberFormat="1" applyBorder="1" applyAlignment="1">
      <alignment vertical="top" shrinkToFit="1"/>
    </xf>
    <xf numFmtId="0" fontId="8" fillId="7" borderId="0" xfId="3"/>
    <xf numFmtId="0" fontId="9" fillId="8" borderId="2" xfId="2"/>
    <xf numFmtId="0" fontId="9" fillId="8" borderId="2" xfId="2" applyAlignment="1">
      <alignment horizontal="left" vertical="center" wrapText="1"/>
    </xf>
    <xf numFmtId="0" fontId="9" fillId="8" borderId="2" xfId="2" applyAlignment="1">
      <alignment horizontal="right" vertical="center" wrapText="1"/>
    </xf>
    <xf numFmtId="0" fontId="8" fillId="7" borderId="0" xfId="3" applyAlignment="1">
      <alignment horizontal="right"/>
    </xf>
    <xf numFmtId="0" fontId="5" fillId="0" borderId="4" xfId="4" applyAlignment="1">
      <alignment horizontal="right"/>
    </xf>
    <xf numFmtId="49" fontId="8" fillId="7" borderId="3" xfId="3" applyNumberFormat="1" applyBorder="1" applyAlignment="1">
      <alignment horizontal="right" vertical="top" shrinkToFit="1"/>
    </xf>
    <xf numFmtId="0" fontId="7" fillId="0" borderId="0" xfId="0" applyFont="1" applyAlignment="1">
      <alignment horizontal="right"/>
    </xf>
    <xf numFmtId="0" fontId="6" fillId="2" borderId="1" xfId="0" applyFont="1" applyFill="1" applyBorder="1" applyAlignment="1">
      <alignment horizontal="left"/>
    </xf>
    <xf numFmtId="0" fontId="5" fillId="3" borderId="1" xfId="0" applyFont="1" applyFill="1" applyBorder="1" applyAlignment="1">
      <alignment horizontal="left"/>
    </xf>
  </cellXfs>
  <cellStyles count="5">
    <cellStyle name="Nadpis 1" xfId="2" builtinId="16" customBuiltin="1"/>
    <cellStyle name="Nadpis 4" xfId="3" builtinId="19" customBuiltin="1"/>
    <cellStyle name="normální" xfId="0" builtinId="0"/>
    <cellStyle name="normální 2" xfId="4"/>
    <cellStyle name="procent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35"/>
  <sheetViews>
    <sheetView tabSelected="1" zoomScale="115" zoomScaleNormal="115" workbookViewId="0">
      <selection activeCell="B30" sqref="B30"/>
    </sheetView>
  </sheetViews>
  <sheetFormatPr defaultColWidth="9.140625" defaultRowHeight="12.75"/>
  <cols>
    <col min="1" max="1" width="29.85546875" style="2" bestFit="1" customWidth="1"/>
    <col min="2" max="2" width="16.85546875" style="2" bestFit="1" customWidth="1"/>
    <col min="3" max="3" width="18" style="2" bestFit="1" customWidth="1"/>
    <col min="4" max="4" width="16.140625" style="2" bestFit="1" customWidth="1"/>
    <col min="5" max="5" width="13.28515625" style="2" bestFit="1" customWidth="1"/>
    <col min="6" max="16384" width="9.140625" style="1"/>
  </cols>
  <sheetData>
    <row r="1" spans="1:5">
      <c r="A1" s="48" t="s">
        <v>0</v>
      </c>
      <c r="B1" s="48"/>
      <c r="C1" s="48"/>
      <c r="D1" s="48"/>
      <c r="E1" s="48"/>
    </row>
    <row r="2" spans="1:5">
      <c r="A2" s="3" t="s">
        <v>1</v>
      </c>
      <c r="B2" s="3"/>
      <c r="C2" s="10" t="s">
        <v>2</v>
      </c>
      <c r="D2" s="3"/>
      <c r="E2" s="9" t="s">
        <v>3</v>
      </c>
    </row>
    <row r="3" spans="1:5">
      <c r="A3" s="48" t="s">
        <v>13</v>
      </c>
      <c r="B3" s="48"/>
      <c r="C3" s="48"/>
      <c r="D3" s="48"/>
      <c r="E3" s="48"/>
    </row>
    <row r="4" spans="1:5">
      <c r="A4" s="3" t="s">
        <v>17</v>
      </c>
      <c r="B4" s="3" t="s">
        <v>20</v>
      </c>
      <c r="C4" s="4">
        <v>692</v>
      </c>
      <c r="D4" s="4"/>
      <c r="E4" s="11">
        <f>C4/C7</f>
        <v>1.0920510675903862E-2</v>
      </c>
    </row>
    <row r="5" spans="1:5">
      <c r="A5" s="8" t="s">
        <v>19</v>
      </c>
      <c r="B5" s="3" t="s">
        <v>21</v>
      </c>
      <c r="C5" s="4">
        <v>60304</v>
      </c>
      <c r="D5" s="4"/>
      <c r="E5" s="11">
        <f>C5/C7</f>
        <v>0.9516625372828128</v>
      </c>
    </row>
    <row r="6" spans="1:5">
      <c r="A6" s="3" t="s">
        <v>18</v>
      </c>
      <c r="B6" s="3" t="s">
        <v>22</v>
      </c>
      <c r="C6" s="4">
        <v>2371</v>
      </c>
      <c r="D6" s="4"/>
      <c r="E6" s="11">
        <f>C6/C7</f>
        <v>3.741695204128332E-2</v>
      </c>
    </row>
    <row r="7" spans="1:5">
      <c r="A7" s="12" t="s">
        <v>4</v>
      </c>
      <c r="B7" s="3"/>
      <c r="C7" s="5">
        <f>SUM(C4:C6)</f>
        <v>63367</v>
      </c>
      <c r="D7" s="5"/>
      <c r="E7" s="13"/>
    </row>
    <row r="8" spans="1:5">
      <c r="A8" s="48" t="s">
        <v>14</v>
      </c>
      <c r="B8" s="48"/>
      <c r="C8" s="48"/>
      <c r="D8" s="48"/>
      <c r="E8" s="48"/>
    </row>
    <row r="9" spans="1:5">
      <c r="A9" s="3" t="s">
        <v>26</v>
      </c>
      <c r="B9" s="3"/>
      <c r="C9" s="4">
        <f>598.1-C10-C15</f>
        <v>503.00000000000006</v>
      </c>
      <c r="D9" s="4"/>
      <c r="E9" s="11"/>
    </row>
    <row r="10" spans="1:5">
      <c r="A10" s="3" t="s">
        <v>23</v>
      </c>
      <c r="B10" s="3"/>
      <c r="C10" s="4">
        <v>53.03</v>
      </c>
      <c r="D10" s="4"/>
      <c r="E10" s="11"/>
    </row>
    <row r="11" spans="1:5">
      <c r="A11" s="3" t="s">
        <v>29</v>
      </c>
      <c r="B11" s="3"/>
      <c r="C11" s="3">
        <v>124.6</v>
      </c>
      <c r="D11" s="4"/>
      <c r="E11" s="11"/>
    </row>
    <row r="12" spans="1:5">
      <c r="A12" s="12" t="s">
        <v>4</v>
      </c>
      <c r="B12" s="3"/>
      <c r="C12" s="5">
        <f>SUM(C9:C11)</f>
        <v>680.63000000000011</v>
      </c>
      <c r="D12" s="5"/>
      <c r="E12" s="13"/>
    </row>
    <row r="13" spans="1:5">
      <c r="A13" s="48" t="s">
        <v>15</v>
      </c>
      <c r="B13" s="48"/>
      <c r="C13" s="48"/>
      <c r="D13" s="48"/>
      <c r="E13" s="48"/>
    </row>
    <row r="14" spans="1:5">
      <c r="A14" s="16" t="s">
        <v>24</v>
      </c>
      <c r="B14" s="16"/>
      <c r="C14" s="17">
        <f>544.85-C15</f>
        <v>502.78000000000003</v>
      </c>
      <c r="D14" s="17"/>
      <c r="E14" s="18"/>
    </row>
    <row r="15" spans="1:5">
      <c r="A15" s="16" t="s">
        <v>25</v>
      </c>
      <c r="B15" s="16"/>
      <c r="C15" s="16">
        <v>42.07</v>
      </c>
      <c r="D15" s="17"/>
      <c r="E15" s="18"/>
    </row>
    <row r="16" spans="1:5">
      <c r="A16" s="16" t="s">
        <v>29</v>
      </c>
      <c r="B16" s="16"/>
      <c r="C16" s="16">
        <v>124.6</v>
      </c>
      <c r="D16" s="17"/>
      <c r="E16" s="18"/>
    </row>
    <row r="17" spans="1:5">
      <c r="A17" s="19" t="s">
        <v>4</v>
      </c>
      <c r="B17" s="16"/>
      <c r="C17" s="20">
        <f>SUM(C14:C16)</f>
        <v>669.45</v>
      </c>
      <c r="D17" s="20"/>
      <c r="E17" s="21"/>
    </row>
    <row r="18" spans="1:5">
      <c r="A18" s="22" t="s">
        <v>27</v>
      </c>
      <c r="B18" s="22"/>
      <c r="C18" s="22">
        <v>266.2</v>
      </c>
      <c r="D18" s="23"/>
      <c r="E18" s="24"/>
    </row>
    <row r="19" spans="1:5">
      <c r="A19" s="22" t="s">
        <v>28</v>
      </c>
      <c r="B19" s="22"/>
      <c r="C19" s="22">
        <v>93.62</v>
      </c>
      <c r="D19" s="23"/>
      <c r="E19" s="24"/>
    </row>
    <row r="20" spans="1:5">
      <c r="A20" s="25" t="s">
        <v>4</v>
      </c>
      <c r="B20" s="22"/>
      <c r="C20" s="26">
        <f>SUM(C18:C19)</f>
        <v>359.82</v>
      </c>
      <c r="D20" s="26"/>
      <c r="E20" s="27"/>
    </row>
    <row r="21" spans="1:5">
      <c r="A21" s="28" t="s">
        <v>30</v>
      </c>
      <c r="B21" s="28"/>
      <c r="C21" s="28">
        <v>21.69</v>
      </c>
      <c r="D21" s="29"/>
      <c r="E21" s="30"/>
    </row>
    <row r="22" spans="1:5">
      <c r="A22" s="28" t="s">
        <v>31</v>
      </c>
      <c r="B22" s="28"/>
      <c r="C22" s="28">
        <v>66.739999999999995</v>
      </c>
      <c r="D22" s="29"/>
      <c r="E22" s="30"/>
    </row>
    <row r="23" spans="1:5">
      <c r="A23" s="31" t="s">
        <v>4</v>
      </c>
      <c r="B23" s="28"/>
      <c r="C23" s="32">
        <f>SUM(C21:C22)</f>
        <v>88.429999999999993</v>
      </c>
      <c r="D23" s="32"/>
      <c r="E23" s="33"/>
    </row>
    <row r="24" spans="1:5">
      <c r="A24" s="48" t="s">
        <v>16</v>
      </c>
      <c r="B24" s="48"/>
      <c r="C24" s="48"/>
      <c r="D24" s="48"/>
      <c r="E24" s="48"/>
    </row>
    <row r="25" spans="1:5">
      <c r="A25" s="3" t="s">
        <v>6</v>
      </c>
      <c r="B25" s="3" t="s">
        <v>7</v>
      </c>
      <c r="C25" s="3" t="s">
        <v>8</v>
      </c>
      <c r="D25" s="3" t="s">
        <v>9</v>
      </c>
      <c r="E25" s="4" t="s">
        <v>4</v>
      </c>
    </row>
    <row r="26" spans="1:5">
      <c r="A26" s="3" t="s">
        <v>32</v>
      </c>
      <c r="B26" s="4">
        <f>C10</f>
        <v>53.03</v>
      </c>
      <c r="C26" s="3">
        <f>B26*5</f>
        <v>265.14999999999998</v>
      </c>
      <c r="D26" s="3">
        <v>890</v>
      </c>
      <c r="E26" s="7">
        <f>D26*C26</f>
        <v>235983.49999999997</v>
      </c>
    </row>
    <row r="27" spans="1:5">
      <c r="A27" s="6" t="s">
        <v>34</v>
      </c>
      <c r="B27" s="4">
        <f>C14+C15</f>
        <v>544.85</v>
      </c>
      <c r="C27" s="4" t="s">
        <v>12</v>
      </c>
      <c r="D27" s="4">
        <v>7000</v>
      </c>
      <c r="E27" s="7">
        <f>D27*B27</f>
        <v>3813950</v>
      </c>
    </row>
    <row r="28" spans="1:5">
      <c r="A28" s="6" t="s">
        <v>33</v>
      </c>
      <c r="B28" s="4">
        <f>C18</f>
        <v>266.2</v>
      </c>
      <c r="C28" s="4">
        <f>B28*1.2</f>
        <v>319.44</v>
      </c>
      <c r="D28" s="4">
        <v>2800</v>
      </c>
      <c r="E28" s="7">
        <f>C28*D28</f>
        <v>894432</v>
      </c>
    </row>
    <row r="29" spans="1:5">
      <c r="A29" s="3" t="s">
        <v>10</v>
      </c>
      <c r="B29" s="4">
        <f>C21</f>
        <v>21.69</v>
      </c>
      <c r="C29" s="4">
        <f>B29*0.5</f>
        <v>10.845000000000001</v>
      </c>
      <c r="D29" s="4">
        <v>283</v>
      </c>
      <c r="E29" s="7">
        <f t="shared" ref="E29:E30" si="0">C29*D29</f>
        <v>3069.1350000000002</v>
      </c>
    </row>
    <row r="30" spans="1:5">
      <c r="A30" s="6" t="s">
        <v>5</v>
      </c>
      <c r="B30" s="4">
        <f>C18+C22+C19</f>
        <v>426.56</v>
      </c>
      <c r="C30" s="4">
        <f>B30*0.5</f>
        <v>213.28</v>
      </c>
      <c r="D30" s="4">
        <v>3350</v>
      </c>
      <c r="E30" s="7">
        <f t="shared" si="0"/>
        <v>714488</v>
      </c>
    </row>
    <row r="31" spans="1:5" ht="25.5">
      <c r="A31" s="8" t="s">
        <v>36</v>
      </c>
      <c r="B31" s="4">
        <f>(C14+C15)*4</f>
        <v>2179.4</v>
      </c>
      <c r="C31" s="4">
        <f>B31/4*13</f>
        <v>7083.05</v>
      </c>
      <c r="D31" s="4">
        <v>6750</v>
      </c>
      <c r="E31" s="7">
        <f>B31*D31</f>
        <v>14710950</v>
      </c>
    </row>
    <row r="32" spans="1:5" ht="25.5">
      <c r="A32" s="34" t="s">
        <v>37</v>
      </c>
      <c r="B32" s="4">
        <v>970</v>
      </c>
      <c r="C32" s="4"/>
      <c r="D32" s="4">
        <v>4450</v>
      </c>
      <c r="E32" s="7">
        <f>D32*B32</f>
        <v>4316500</v>
      </c>
    </row>
    <row r="33" spans="1:5">
      <c r="A33" s="6" t="s">
        <v>38</v>
      </c>
      <c r="B33" s="4">
        <v>1116.2</v>
      </c>
      <c r="C33" s="4"/>
      <c r="D33" s="4">
        <v>4800</v>
      </c>
      <c r="E33" s="7">
        <f>D33*B33</f>
        <v>5357760</v>
      </c>
    </row>
    <row r="34" spans="1:5">
      <c r="A34" s="3"/>
      <c r="B34" s="4"/>
      <c r="C34" s="4"/>
      <c r="D34" s="14" t="s">
        <v>11</v>
      </c>
      <c r="E34" s="15">
        <f>SUM(E26:E33)</f>
        <v>30047132.634999998</v>
      </c>
    </row>
    <row r="35" spans="1:5">
      <c r="A35" s="49" t="s">
        <v>35</v>
      </c>
      <c r="B35" s="49"/>
      <c r="C35" s="49"/>
      <c r="D35" s="49"/>
      <c r="E35" s="49"/>
    </row>
  </sheetData>
  <mergeCells count="6">
    <mergeCell ref="A1:E1"/>
    <mergeCell ref="A35:E35"/>
    <mergeCell ref="A3:E3"/>
    <mergeCell ref="A8:E8"/>
    <mergeCell ref="A13:E13"/>
    <mergeCell ref="A24:E24"/>
  </mergeCells>
  <pageMargins left="0.70866141732283472" right="0.70866141732283472" top="0.78740157480314965" bottom="0.78740157480314965" header="0.31496062992125984" footer="0.31496062992125984"/>
  <pageSetup paperSize="9" scale="8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F55"/>
  <sheetViews>
    <sheetView workbookViewId="0">
      <selection activeCell="F26" sqref="F26"/>
    </sheetView>
  </sheetViews>
  <sheetFormatPr defaultRowHeight="16.5"/>
  <cols>
    <col min="1" max="1" width="83.5703125" style="36" customWidth="1"/>
    <col min="2" max="2" width="0" style="36" hidden="1" customWidth="1"/>
    <col min="3" max="5" width="9.140625" style="36"/>
    <col min="6" max="6" width="9.140625" style="47"/>
    <col min="7" max="16384" width="9.140625" style="36"/>
  </cols>
  <sheetData>
    <row r="1" spans="1:6" ht="32.25" thickBot="1">
      <c r="A1" s="41" t="s">
        <v>100</v>
      </c>
      <c r="B1" s="41"/>
      <c r="C1" s="41"/>
      <c r="D1" s="42" t="s">
        <v>97</v>
      </c>
      <c r="E1" s="42" t="s">
        <v>98</v>
      </c>
      <c r="F1" s="43" t="s">
        <v>99</v>
      </c>
    </row>
    <row r="2" spans="1:6" ht="17.25" thickTop="1">
      <c r="A2" s="37" t="s">
        <v>102</v>
      </c>
      <c r="B2" s="38"/>
      <c r="C2" s="39"/>
      <c r="D2" s="40"/>
      <c r="E2" s="40">
        <f>SUM(E3)</f>
        <v>438.64503900000005</v>
      </c>
      <c r="F2" s="44">
        <v>17</v>
      </c>
    </row>
    <row r="3" spans="1:6">
      <c r="A3" s="35" t="s">
        <v>39</v>
      </c>
      <c r="B3" s="35" t="s">
        <v>40</v>
      </c>
      <c r="C3" s="35">
        <v>230.86581000000001</v>
      </c>
      <c r="D3" s="35">
        <v>1900</v>
      </c>
      <c r="E3" s="35">
        <f>C3*D3/1000</f>
        <v>438.64503900000005</v>
      </c>
      <c r="F3" s="45">
        <v>170102</v>
      </c>
    </row>
    <row r="4" spans="1:6">
      <c r="A4" s="37" t="s">
        <v>41</v>
      </c>
      <c r="B4" s="38"/>
      <c r="C4" s="39"/>
      <c r="D4" s="39"/>
      <c r="E4" s="39">
        <f>SUM(E5:E10)</f>
        <v>400.35258849999997</v>
      </c>
      <c r="F4" s="46">
        <v>1705</v>
      </c>
    </row>
    <row r="5" spans="1:6">
      <c r="A5" s="35" t="s">
        <v>50</v>
      </c>
      <c r="B5" s="35" t="s">
        <v>40</v>
      </c>
      <c r="C5" s="35">
        <v>3.8415000000000004</v>
      </c>
      <c r="D5" s="35">
        <v>1800</v>
      </c>
      <c r="E5" s="35">
        <f t="shared" ref="E5:E10" si="0">C5*D5/1000</f>
        <v>6.9147000000000007</v>
      </c>
      <c r="F5" s="45">
        <v>1705</v>
      </c>
    </row>
    <row r="6" spans="1:6">
      <c r="A6" s="35" t="s">
        <v>51</v>
      </c>
      <c r="B6" s="35" t="s">
        <v>40</v>
      </c>
      <c r="C6" s="35">
        <v>187.87520000000001</v>
      </c>
      <c r="D6" s="35">
        <v>1800</v>
      </c>
      <c r="E6" s="35">
        <f t="shared" si="0"/>
        <v>338.17536000000001</v>
      </c>
      <c r="F6" s="45">
        <v>1705</v>
      </c>
    </row>
    <row r="7" spans="1:6">
      <c r="A7" s="35" t="s">
        <v>49</v>
      </c>
      <c r="B7" s="35" t="s">
        <v>40</v>
      </c>
      <c r="C7" s="35">
        <v>4</v>
      </c>
      <c r="D7" s="35">
        <v>1800</v>
      </c>
      <c r="E7" s="35">
        <f t="shared" si="0"/>
        <v>7.2</v>
      </c>
      <c r="F7" s="45">
        <v>1705</v>
      </c>
    </row>
    <row r="8" spans="1:6">
      <c r="A8" s="35" t="s">
        <v>45</v>
      </c>
      <c r="B8" s="35" t="s">
        <v>46</v>
      </c>
      <c r="C8" s="35">
        <f>125*0.1</f>
        <v>12.5</v>
      </c>
      <c r="D8" s="35">
        <v>1400</v>
      </c>
      <c r="E8" s="35">
        <f t="shared" si="0"/>
        <v>17.5</v>
      </c>
      <c r="F8" s="45">
        <v>1705</v>
      </c>
    </row>
    <row r="9" spans="1:6">
      <c r="A9" s="35" t="s">
        <v>47</v>
      </c>
      <c r="B9" s="35" t="s">
        <v>46</v>
      </c>
      <c r="C9" s="35">
        <f>49.0239*0.15</f>
        <v>7.3535849999999989</v>
      </c>
      <c r="D9" s="35">
        <v>2100</v>
      </c>
      <c r="E9" s="35">
        <f t="shared" si="0"/>
        <v>15.442528499999998</v>
      </c>
      <c r="F9" s="45">
        <v>1705</v>
      </c>
    </row>
    <row r="10" spans="1:6">
      <c r="A10" s="35" t="s">
        <v>48</v>
      </c>
      <c r="B10" s="35" t="s">
        <v>46</v>
      </c>
      <c r="C10" s="35">
        <f>56*0.15</f>
        <v>8.4</v>
      </c>
      <c r="D10" s="35">
        <v>1800</v>
      </c>
      <c r="E10" s="35">
        <f t="shared" si="0"/>
        <v>15.12</v>
      </c>
      <c r="F10" s="45">
        <v>1705</v>
      </c>
    </row>
    <row r="11" spans="1:6">
      <c r="A11" s="37" t="s">
        <v>44</v>
      </c>
      <c r="B11" s="38"/>
      <c r="C11" s="39"/>
      <c r="D11" s="39"/>
      <c r="E11" s="39">
        <f>SUM(E12:E55)</f>
        <v>625.98863892499992</v>
      </c>
      <c r="F11" s="46" t="s">
        <v>101</v>
      </c>
    </row>
    <row r="12" spans="1:6">
      <c r="A12" s="35" t="s">
        <v>42</v>
      </c>
      <c r="B12" s="35" t="s">
        <v>43</v>
      </c>
      <c r="C12" s="35">
        <f>30*0.1*0.1</f>
        <v>0.30000000000000004</v>
      </c>
      <c r="D12" s="35">
        <v>2800</v>
      </c>
      <c r="E12" s="35">
        <f t="shared" ref="E12" si="1">C12*D12/1000</f>
        <v>0.84000000000000008</v>
      </c>
      <c r="F12" s="45">
        <v>170107</v>
      </c>
    </row>
    <row r="13" spans="1:6">
      <c r="A13" s="35" t="s">
        <v>52</v>
      </c>
      <c r="B13" s="35" t="s">
        <v>46</v>
      </c>
      <c r="C13" s="35">
        <f>4.296*0.065</f>
        <v>0.27924000000000004</v>
      </c>
      <c r="D13" s="35">
        <v>1900</v>
      </c>
      <c r="E13" s="35">
        <f t="shared" ref="E13:E55" si="2">C13*D13/1000</f>
        <v>0.53055600000000003</v>
      </c>
      <c r="F13" s="45">
        <v>170107</v>
      </c>
    </row>
    <row r="14" spans="1:6">
      <c r="A14" s="35" t="s">
        <v>53</v>
      </c>
      <c r="B14" s="35" t="s">
        <v>46</v>
      </c>
      <c r="C14" s="35">
        <f>213.27455*0.145</f>
        <v>30.924809749999998</v>
      </c>
      <c r="D14" s="35">
        <v>1900</v>
      </c>
      <c r="E14" s="35">
        <f t="shared" si="2"/>
        <v>58.757138524999995</v>
      </c>
      <c r="F14" s="45">
        <v>170107</v>
      </c>
    </row>
    <row r="15" spans="1:6">
      <c r="A15" s="35" t="s">
        <v>54</v>
      </c>
      <c r="B15" s="35" t="s">
        <v>40</v>
      </c>
      <c r="C15" s="35">
        <v>31.14038</v>
      </c>
      <c r="D15" s="35">
        <v>1900</v>
      </c>
      <c r="E15" s="35">
        <f t="shared" si="2"/>
        <v>59.166722</v>
      </c>
      <c r="F15" s="45">
        <v>170107</v>
      </c>
    </row>
    <row r="16" spans="1:6">
      <c r="A16" s="35" t="s">
        <v>55</v>
      </c>
      <c r="B16" s="35" t="s">
        <v>40</v>
      </c>
      <c r="C16" s="35">
        <v>16.887</v>
      </c>
      <c r="D16" s="35">
        <v>1900</v>
      </c>
      <c r="E16" s="35">
        <f t="shared" si="2"/>
        <v>32.085299999999997</v>
      </c>
      <c r="F16" s="45">
        <v>170107</v>
      </c>
    </row>
    <row r="17" spans="1:6">
      <c r="A17" s="35" t="s">
        <v>56</v>
      </c>
      <c r="B17" s="35" t="s">
        <v>46</v>
      </c>
      <c r="C17" s="35">
        <f>2.8*0.1</f>
        <v>0.27999999999999997</v>
      </c>
      <c r="D17" s="35">
        <v>1700</v>
      </c>
      <c r="E17" s="35">
        <f t="shared" si="2"/>
        <v>0.47599999999999992</v>
      </c>
      <c r="F17" s="45">
        <v>170107</v>
      </c>
    </row>
    <row r="18" spans="1:6">
      <c r="A18" s="35" t="s">
        <v>57</v>
      </c>
      <c r="B18" s="35" t="s">
        <v>46</v>
      </c>
      <c r="C18" s="35">
        <f>198.84*0.2</f>
        <v>39.768000000000001</v>
      </c>
      <c r="D18" s="35">
        <v>1900</v>
      </c>
      <c r="E18" s="35">
        <f t="shared" si="2"/>
        <v>75.559200000000004</v>
      </c>
      <c r="F18" s="45">
        <v>170107</v>
      </c>
    </row>
    <row r="19" spans="1:6">
      <c r="A19" s="35" t="s">
        <v>58</v>
      </c>
      <c r="B19" s="35" t="s">
        <v>40</v>
      </c>
      <c r="C19" s="35">
        <v>1.1820000000000002</v>
      </c>
      <c r="D19" s="35">
        <v>2000</v>
      </c>
      <c r="E19" s="35">
        <f t="shared" si="2"/>
        <v>2.3640000000000003</v>
      </c>
      <c r="F19" s="45">
        <v>170107</v>
      </c>
    </row>
    <row r="20" spans="1:6">
      <c r="A20" s="35" t="s">
        <v>59</v>
      </c>
      <c r="B20" s="35" t="s">
        <v>40</v>
      </c>
      <c r="C20" s="35">
        <v>14.27341</v>
      </c>
      <c r="D20" s="35">
        <v>2000</v>
      </c>
      <c r="E20" s="35">
        <f t="shared" si="2"/>
        <v>28.54682</v>
      </c>
      <c r="F20" s="45">
        <v>170107</v>
      </c>
    </row>
    <row r="21" spans="1:6">
      <c r="A21" s="35" t="s">
        <v>60</v>
      </c>
      <c r="B21" s="35" t="s">
        <v>40</v>
      </c>
      <c r="C21" s="35">
        <v>11.407</v>
      </c>
      <c r="D21" s="35">
        <v>2000</v>
      </c>
      <c r="E21" s="35">
        <f t="shared" si="2"/>
        <v>22.814</v>
      </c>
      <c r="F21" s="45">
        <v>170107</v>
      </c>
    </row>
    <row r="22" spans="1:6">
      <c r="A22" s="35" t="s">
        <v>61</v>
      </c>
      <c r="B22" s="35" t="s">
        <v>46</v>
      </c>
      <c r="C22" s="35">
        <f>213.41*0.15</f>
        <v>32.011499999999998</v>
      </c>
      <c r="D22" s="35">
        <v>1900</v>
      </c>
      <c r="E22" s="35">
        <f t="shared" si="2"/>
        <v>60.821849999999998</v>
      </c>
      <c r="F22" s="45">
        <v>170107</v>
      </c>
    </row>
    <row r="23" spans="1:6">
      <c r="A23" s="35" t="s">
        <v>62</v>
      </c>
      <c r="B23" s="35" t="s">
        <v>46</v>
      </c>
      <c r="C23" s="35">
        <f>276.99*0.01</f>
        <v>2.7699000000000003</v>
      </c>
      <c r="D23" s="35">
        <v>1900</v>
      </c>
      <c r="E23" s="35">
        <f t="shared" si="2"/>
        <v>5.26281</v>
      </c>
      <c r="F23" s="45">
        <v>170107</v>
      </c>
    </row>
    <row r="24" spans="1:6">
      <c r="A24" s="35" t="s">
        <v>63</v>
      </c>
      <c r="B24" s="35" t="s">
        <v>40</v>
      </c>
      <c r="C24" s="35">
        <v>134.69260000000003</v>
      </c>
      <c r="D24" s="35">
        <v>1200</v>
      </c>
      <c r="E24" s="35">
        <f t="shared" si="2"/>
        <v>161.63112000000004</v>
      </c>
      <c r="F24" s="45">
        <v>170107</v>
      </c>
    </row>
    <row r="25" spans="1:6">
      <c r="A25" s="35" t="s">
        <v>64</v>
      </c>
      <c r="B25" s="35" t="s">
        <v>43</v>
      </c>
      <c r="C25" s="35">
        <f>73.99*1*0.01</f>
        <v>0.7399</v>
      </c>
      <c r="D25" s="35">
        <v>600</v>
      </c>
      <c r="E25" s="35">
        <f t="shared" si="2"/>
        <v>0.44394</v>
      </c>
      <c r="F25" s="45">
        <v>170107</v>
      </c>
    </row>
    <row r="26" spans="1:6">
      <c r="A26" s="35" t="s">
        <v>65</v>
      </c>
      <c r="B26" s="35" t="s">
        <v>46</v>
      </c>
      <c r="C26" s="35">
        <f>6.09*0.2</f>
        <v>1.218</v>
      </c>
      <c r="D26" s="35">
        <v>1900</v>
      </c>
      <c r="E26" s="35">
        <f t="shared" si="2"/>
        <v>2.3142</v>
      </c>
      <c r="F26" s="45">
        <v>170107</v>
      </c>
    </row>
    <row r="27" spans="1:6">
      <c r="A27" s="35" t="s">
        <v>66</v>
      </c>
      <c r="B27" s="35" t="s">
        <v>40</v>
      </c>
      <c r="C27" s="35">
        <v>2.17944</v>
      </c>
      <c r="D27" s="35">
        <v>1900</v>
      </c>
      <c r="E27" s="35">
        <f t="shared" si="2"/>
        <v>4.140936</v>
      </c>
      <c r="F27" s="45">
        <v>170107</v>
      </c>
    </row>
    <row r="28" spans="1:6">
      <c r="A28" s="35" t="s">
        <v>67</v>
      </c>
      <c r="B28" s="35" t="s">
        <v>40</v>
      </c>
      <c r="C28" s="35">
        <v>8.0359700000000007</v>
      </c>
      <c r="D28" s="35">
        <v>1900</v>
      </c>
      <c r="E28" s="35">
        <f t="shared" si="2"/>
        <v>15.268343000000002</v>
      </c>
      <c r="F28" s="45">
        <v>170107</v>
      </c>
    </row>
    <row r="29" spans="1:6">
      <c r="A29" s="35" t="s">
        <v>68</v>
      </c>
      <c r="B29" s="35" t="s">
        <v>40</v>
      </c>
      <c r="C29" s="35">
        <v>0.10328000000000001</v>
      </c>
      <c r="D29" s="35">
        <v>1900</v>
      </c>
      <c r="E29" s="35">
        <f t="shared" si="2"/>
        <v>0.19623200000000002</v>
      </c>
      <c r="F29" s="45">
        <v>170107</v>
      </c>
    </row>
    <row r="30" spans="1:6">
      <c r="A30" s="35" t="s">
        <v>69</v>
      </c>
      <c r="B30" s="35" t="s">
        <v>70</v>
      </c>
      <c r="C30" s="35">
        <f>2*1*0.1</f>
        <v>0.2</v>
      </c>
      <c r="D30" s="35">
        <v>1200</v>
      </c>
      <c r="E30" s="35">
        <f t="shared" si="2"/>
        <v>0.24</v>
      </c>
      <c r="F30" s="45">
        <v>170107</v>
      </c>
    </row>
    <row r="31" spans="1:6">
      <c r="A31" s="35" t="s">
        <v>71</v>
      </c>
      <c r="B31" s="35" t="s">
        <v>43</v>
      </c>
      <c r="C31" s="35">
        <f>2.8*0.01*0.15</f>
        <v>4.1999999999999997E-3</v>
      </c>
      <c r="D31" s="35">
        <v>1200</v>
      </c>
      <c r="E31" s="35">
        <f t="shared" si="2"/>
        <v>5.0400000000000002E-3</v>
      </c>
      <c r="F31" s="45">
        <v>170107</v>
      </c>
    </row>
    <row r="32" spans="1:6">
      <c r="A32" s="35" t="s">
        <v>72</v>
      </c>
      <c r="B32" s="35" t="s">
        <v>43</v>
      </c>
      <c r="C32" s="35">
        <f>1.6*0.01*0.15</f>
        <v>2.3999999999999998E-3</v>
      </c>
      <c r="D32" s="35">
        <v>1200</v>
      </c>
      <c r="E32" s="35">
        <f t="shared" si="2"/>
        <v>2.8799999999999997E-3</v>
      </c>
      <c r="F32" s="45">
        <v>170107</v>
      </c>
    </row>
    <row r="33" spans="1:6">
      <c r="A33" s="35" t="s">
        <v>73</v>
      </c>
      <c r="B33" s="35" t="s">
        <v>43</v>
      </c>
      <c r="C33" s="35">
        <f>4.65*0.01*0.15</f>
        <v>6.9750000000000012E-3</v>
      </c>
      <c r="D33" s="35">
        <v>1200</v>
      </c>
      <c r="E33" s="35">
        <f t="shared" si="2"/>
        <v>8.3700000000000007E-3</v>
      </c>
      <c r="F33" s="45">
        <v>170107</v>
      </c>
    </row>
    <row r="34" spans="1:6">
      <c r="A34" s="35" t="s">
        <v>74</v>
      </c>
      <c r="B34" s="35" t="s">
        <v>43</v>
      </c>
      <c r="C34" s="35">
        <f>1.4*0.01*0.15</f>
        <v>2.0999999999999999E-3</v>
      </c>
      <c r="D34" s="35">
        <v>1200</v>
      </c>
      <c r="E34" s="35">
        <f t="shared" si="2"/>
        <v>2.5200000000000001E-3</v>
      </c>
      <c r="F34" s="45">
        <v>170107</v>
      </c>
    </row>
    <row r="35" spans="1:6">
      <c r="A35" s="35" t="s">
        <v>75</v>
      </c>
      <c r="B35" s="35" t="s">
        <v>46</v>
      </c>
      <c r="C35" s="35">
        <f>226.86*0.02</f>
        <v>4.5372000000000003</v>
      </c>
      <c r="D35" s="35">
        <v>1600</v>
      </c>
      <c r="E35" s="35">
        <f t="shared" si="2"/>
        <v>7.2595200000000002</v>
      </c>
      <c r="F35" s="45">
        <v>170107</v>
      </c>
    </row>
    <row r="36" spans="1:6">
      <c r="A36" s="35" t="s">
        <v>76</v>
      </c>
      <c r="B36" s="35" t="s">
        <v>46</v>
      </c>
      <c r="C36" s="35">
        <f>501.78*0.02</f>
        <v>10.035600000000001</v>
      </c>
      <c r="D36" s="35">
        <v>1600</v>
      </c>
      <c r="E36" s="35">
        <f t="shared" si="2"/>
        <v>16.05696</v>
      </c>
      <c r="F36" s="45">
        <v>170107</v>
      </c>
    </row>
    <row r="37" spans="1:6">
      <c r="A37" s="35" t="s">
        <v>77</v>
      </c>
      <c r="B37" s="35" t="s">
        <v>46</v>
      </c>
      <c r="C37" s="35">
        <f>563.7978*0.02</f>
        <v>11.275956000000001</v>
      </c>
      <c r="D37" s="35">
        <v>1600</v>
      </c>
      <c r="E37" s="35">
        <f t="shared" si="2"/>
        <v>18.0415296</v>
      </c>
      <c r="F37" s="45">
        <v>170107</v>
      </c>
    </row>
    <row r="38" spans="1:6">
      <c r="A38" s="35" t="s">
        <v>78</v>
      </c>
      <c r="B38" s="35" t="s">
        <v>46</v>
      </c>
      <c r="C38" s="35">
        <f>120.979*0.02</f>
        <v>2.4195799999999998</v>
      </c>
      <c r="D38" s="35">
        <v>2100</v>
      </c>
      <c r="E38" s="35">
        <f t="shared" si="2"/>
        <v>5.0811179999999991</v>
      </c>
      <c r="F38" s="45">
        <v>170107</v>
      </c>
    </row>
    <row r="39" spans="1:6">
      <c r="A39" s="35" t="s">
        <v>79</v>
      </c>
      <c r="B39" s="35" t="s">
        <v>46</v>
      </c>
      <c r="C39" s="35">
        <f>19.7*0.15</f>
        <v>2.9549999999999996</v>
      </c>
      <c r="D39" s="35">
        <v>50</v>
      </c>
      <c r="E39" s="35">
        <f t="shared" si="2"/>
        <v>0.14774999999999996</v>
      </c>
      <c r="F39" s="45">
        <v>170107</v>
      </c>
    </row>
    <row r="40" spans="1:6">
      <c r="A40" s="35" t="s">
        <v>80</v>
      </c>
      <c r="B40" s="35" t="s">
        <v>81</v>
      </c>
      <c r="C40" s="35">
        <f>1*0.5*0.2</f>
        <v>0.1</v>
      </c>
      <c r="D40" s="35">
        <v>1000</v>
      </c>
      <c r="E40" s="35">
        <f t="shared" si="2"/>
        <v>0.1</v>
      </c>
      <c r="F40" s="45">
        <v>170107</v>
      </c>
    </row>
    <row r="41" spans="1:6">
      <c r="A41" s="35" t="s">
        <v>82</v>
      </c>
      <c r="B41" s="35" t="s">
        <v>70</v>
      </c>
      <c r="C41" s="35">
        <f>8*0.5*0.2</f>
        <v>0.8</v>
      </c>
      <c r="D41" s="35">
        <v>1000</v>
      </c>
      <c r="E41" s="35">
        <f t="shared" si="2"/>
        <v>0.8</v>
      </c>
      <c r="F41" s="45">
        <v>170107</v>
      </c>
    </row>
    <row r="42" spans="1:6">
      <c r="A42" s="35" t="s">
        <v>83</v>
      </c>
      <c r="B42" s="35" t="s">
        <v>70</v>
      </c>
      <c r="C42" s="35">
        <f>9*0.5*0.2</f>
        <v>0.9</v>
      </c>
      <c r="D42" s="35">
        <v>1000</v>
      </c>
      <c r="E42" s="35">
        <f t="shared" si="2"/>
        <v>0.9</v>
      </c>
      <c r="F42" s="45">
        <v>170107</v>
      </c>
    </row>
    <row r="43" spans="1:6">
      <c r="A43" s="35" t="s">
        <v>84</v>
      </c>
      <c r="B43" s="35" t="s">
        <v>70</v>
      </c>
      <c r="C43" s="35">
        <f>3*0.5*0.2</f>
        <v>0.30000000000000004</v>
      </c>
      <c r="D43" s="35">
        <v>1000</v>
      </c>
      <c r="E43" s="35">
        <f t="shared" si="2"/>
        <v>0.30000000000000004</v>
      </c>
      <c r="F43" s="45">
        <v>170107</v>
      </c>
    </row>
    <row r="44" spans="1:6">
      <c r="A44" s="35" t="s">
        <v>85</v>
      </c>
      <c r="B44" s="35" t="s">
        <v>81</v>
      </c>
      <c r="C44" s="35">
        <f>1*0.5*0.2</f>
        <v>0.1</v>
      </c>
      <c r="D44" s="35">
        <v>1000</v>
      </c>
      <c r="E44" s="35">
        <f t="shared" si="2"/>
        <v>0.1</v>
      </c>
      <c r="F44" s="45">
        <v>170107</v>
      </c>
    </row>
    <row r="45" spans="1:6">
      <c r="A45" s="35" t="s">
        <v>86</v>
      </c>
      <c r="B45" s="35" t="s">
        <v>81</v>
      </c>
      <c r="C45" s="35">
        <f>4*0.5*0.2</f>
        <v>0.4</v>
      </c>
      <c r="D45" s="35">
        <v>1000</v>
      </c>
      <c r="E45" s="35">
        <f t="shared" si="2"/>
        <v>0.4</v>
      </c>
      <c r="F45" s="45">
        <v>170107</v>
      </c>
    </row>
    <row r="46" spans="1:6">
      <c r="A46" s="35" t="s">
        <v>87</v>
      </c>
      <c r="B46" s="35" t="s">
        <v>81</v>
      </c>
      <c r="C46" s="35">
        <f>1*0.5*0.2</f>
        <v>0.1</v>
      </c>
      <c r="D46" s="35">
        <v>1000</v>
      </c>
      <c r="E46" s="35">
        <f t="shared" si="2"/>
        <v>0.1</v>
      </c>
      <c r="F46" s="45">
        <v>170107</v>
      </c>
    </row>
    <row r="47" spans="1:6">
      <c r="A47" s="35" t="s">
        <v>88</v>
      </c>
      <c r="B47" s="35" t="s">
        <v>81</v>
      </c>
      <c r="C47" s="35">
        <f>5*0.5</f>
        <v>2.5</v>
      </c>
      <c r="D47" s="35">
        <v>2100</v>
      </c>
      <c r="E47" s="35">
        <f t="shared" si="2"/>
        <v>5.25</v>
      </c>
      <c r="F47" s="45">
        <v>170107</v>
      </c>
    </row>
    <row r="48" spans="1:6">
      <c r="A48" s="35" t="s">
        <v>89</v>
      </c>
      <c r="B48" s="35" t="s">
        <v>81</v>
      </c>
      <c r="C48" s="35">
        <f>2*0.5</f>
        <v>1</v>
      </c>
      <c r="D48" s="35">
        <v>2100</v>
      </c>
      <c r="E48" s="35">
        <f t="shared" si="2"/>
        <v>2.1</v>
      </c>
      <c r="F48" s="45">
        <v>170107</v>
      </c>
    </row>
    <row r="49" spans="1:6">
      <c r="A49" s="35" t="s">
        <v>90</v>
      </c>
      <c r="B49" s="35" t="s">
        <v>46</v>
      </c>
      <c r="C49" s="35">
        <f>363.272*0.032</f>
        <v>11.624703999999999</v>
      </c>
      <c r="D49" s="35">
        <v>600</v>
      </c>
      <c r="E49" s="35">
        <f t="shared" si="2"/>
        <v>6.9748223999999999</v>
      </c>
      <c r="F49" s="45">
        <v>170107</v>
      </c>
    </row>
    <row r="50" spans="1:6">
      <c r="A50" s="35" t="s">
        <v>91</v>
      </c>
      <c r="B50" s="35" t="s">
        <v>46</v>
      </c>
      <c r="C50" s="35">
        <f>394.162*0.032</f>
        <v>12.613184</v>
      </c>
      <c r="D50" s="35">
        <v>600</v>
      </c>
      <c r="E50" s="35">
        <f t="shared" si="2"/>
        <v>7.5679104000000006</v>
      </c>
      <c r="F50" s="45">
        <v>170107</v>
      </c>
    </row>
    <row r="51" spans="1:6">
      <c r="A51" s="35" t="s">
        <v>92</v>
      </c>
      <c r="B51" s="35" t="s">
        <v>46</v>
      </c>
      <c r="C51" s="35">
        <f>205.89*0.032</f>
        <v>6.5884799999999997</v>
      </c>
      <c r="D51" s="35">
        <v>300</v>
      </c>
      <c r="E51" s="35">
        <f t="shared" si="2"/>
        <v>1.9765439999999999</v>
      </c>
      <c r="F51" s="45">
        <v>170107</v>
      </c>
    </row>
    <row r="52" spans="1:6">
      <c r="A52" s="35" t="s">
        <v>93</v>
      </c>
      <c r="B52" s="35" t="s">
        <v>46</v>
      </c>
      <c r="C52" s="35">
        <f>501.78*0.032</f>
        <v>16.05696</v>
      </c>
      <c r="D52" s="35">
        <v>300</v>
      </c>
      <c r="E52" s="35">
        <f t="shared" si="2"/>
        <v>4.817088</v>
      </c>
      <c r="F52" s="45">
        <v>170107</v>
      </c>
    </row>
    <row r="53" spans="1:6">
      <c r="A53" s="35" t="s">
        <v>94</v>
      </c>
      <c r="B53" s="35" t="s">
        <v>46</v>
      </c>
      <c r="C53" s="35">
        <f>501.78*0.1</f>
        <v>50.177999999999997</v>
      </c>
      <c r="D53" s="35">
        <v>300</v>
      </c>
      <c r="E53" s="35">
        <f t="shared" si="2"/>
        <v>15.0534</v>
      </c>
      <c r="F53" s="45">
        <v>170107</v>
      </c>
    </row>
    <row r="54" spans="1:6">
      <c r="A54" s="35" t="s">
        <v>95</v>
      </c>
      <c r="B54" s="35" t="s">
        <v>46</v>
      </c>
      <c r="C54" s="35">
        <f>110.83*0.022</f>
        <v>2.4382599999999996</v>
      </c>
      <c r="D54" s="35">
        <v>600</v>
      </c>
      <c r="E54" s="35">
        <f t="shared" si="2"/>
        <v>1.4629559999999997</v>
      </c>
      <c r="F54" s="45">
        <v>170107</v>
      </c>
    </row>
    <row r="55" spans="1:6">
      <c r="A55" s="35" t="s">
        <v>96</v>
      </c>
      <c r="B55" s="35" t="s">
        <v>46</v>
      </c>
      <c r="C55" s="35">
        <f>140.42*0.01</f>
        <v>1.4041999999999999</v>
      </c>
      <c r="D55" s="35">
        <v>15</v>
      </c>
      <c r="E55" s="35">
        <f t="shared" si="2"/>
        <v>2.1062999999999998E-2</v>
      </c>
      <c r="F55" s="45">
        <v>170107</v>
      </c>
    </row>
  </sheetData>
  <pageMargins left="0.70866141732283472" right="0.70866141732283472" top="0.78740157480314965" bottom="0.78740157480314965" header="0.31496062992125984" footer="0.31496062992125984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celkové plochy</vt:lpstr>
      <vt:lpstr>ODPADY</vt:lpstr>
    </vt:vector>
  </TitlesOfParts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Lukas</dc:creator>
  <cp:lastModifiedBy>Lukas</cp:lastModifiedBy>
  <cp:revision/>
  <cp:lastPrinted>2018-11-12T15:56:49Z</cp:lastPrinted>
  <dcterms:created xsi:type="dcterms:W3CDTF">2012-04-23T15:35:08Z</dcterms:created>
  <dcterms:modified xsi:type="dcterms:W3CDTF">2019-12-16T12:40:52Z</dcterms:modified>
</cp:coreProperties>
</file>